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285" windowHeight="8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35" i="1"/>
  <c r="E9"/>
  <c r="D9" s="1"/>
  <c r="C9" s="1"/>
  <c r="G9"/>
  <c r="H9"/>
  <c r="L9"/>
  <c r="D10"/>
  <c r="J10"/>
  <c r="L10"/>
  <c r="D11"/>
  <c r="J11"/>
  <c r="L11"/>
  <c r="D12"/>
  <c r="E12"/>
  <c r="L12"/>
  <c r="E13"/>
  <c r="D13" s="1"/>
  <c r="C13" s="1"/>
  <c r="L13"/>
  <c r="E14"/>
  <c r="D14" s="1"/>
  <c r="J14"/>
  <c r="L14"/>
  <c r="E15"/>
  <c r="D15" s="1"/>
  <c r="L15"/>
  <c r="E16"/>
  <c r="F16"/>
  <c r="G16"/>
  <c r="J16"/>
  <c r="L16"/>
  <c r="E17"/>
  <c r="F17"/>
  <c r="G17"/>
  <c r="H17"/>
  <c r="L17"/>
  <c r="D18"/>
  <c r="J18"/>
  <c r="L18"/>
  <c r="E19"/>
  <c r="G19"/>
  <c r="H19"/>
  <c r="J19"/>
  <c r="L19"/>
  <c r="E20"/>
  <c r="G20"/>
  <c r="H20"/>
  <c r="J20"/>
  <c r="L20"/>
  <c r="E21"/>
  <c r="G21"/>
  <c r="H21"/>
  <c r="J21"/>
  <c r="L21"/>
  <c r="E22"/>
  <c r="G22"/>
  <c r="H22"/>
  <c r="J22"/>
  <c r="L22"/>
  <c r="E23"/>
  <c r="D23" s="1"/>
  <c r="G23"/>
  <c r="H23"/>
  <c r="L23"/>
  <c r="E24"/>
  <c r="G24"/>
  <c r="H24"/>
  <c r="J24"/>
  <c r="L24"/>
  <c r="E25"/>
  <c r="G25"/>
  <c r="H25"/>
  <c r="J25"/>
  <c r="L25"/>
  <c r="E26"/>
  <c r="D26" s="1"/>
  <c r="C26" s="1"/>
  <c r="L26"/>
  <c r="E27"/>
  <c r="G27"/>
  <c r="L27"/>
  <c r="E28"/>
  <c r="G28"/>
  <c r="H28"/>
  <c r="J28"/>
  <c r="L28"/>
  <c r="E29"/>
  <c r="D29" s="1"/>
  <c r="J29"/>
  <c r="L29"/>
  <c r="D30"/>
  <c r="C30" s="1"/>
  <c r="E30"/>
  <c r="J30"/>
  <c r="L30"/>
  <c r="E31"/>
  <c r="D31" s="1"/>
  <c r="J31"/>
  <c r="L31"/>
  <c r="E32"/>
  <c r="D32" s="1"/>
  <c r="L32"/>
  <c r="E33"/>
  <c r="G33"/>
  <c r="H33"/>
  <c r="L33"/>
  <c r="C33" s="1"/>
  <c r="E34"/>
  <c r="G34"/>
  <c r="H34"/>
  <c r="L34"/>
  <c r="C34" s="1"/>
  <c r="E35"/>
  <c r="J35"/>
  <c r="L35"/>
  <c r="J36"/>
  <c r="L36"/>
  <c r="C36" s="1"/>
  <c r="E37"/>
  <c r="J37"/>
  <c r="L37"/>
  <c r="C37" s="1"/>
  <c r="E38"/>
  <c r="J38"/>
  <c r="L38"/>
  <c r="E39"/>
  <c r="J39"/>
  <c r="L39"/>
  <c r="E40"/>
  <c r="G40"/>
  <c r="H40"/>
  <c r="J40"/>
  <c r="L40"/>
  <c r="E41"/>
  <c r="G41"/>
  <c r="H41"/>
  <c r="J41"/>
  <c r="L41"/>
  <c r="E42"/>
  <c r="G42"/>
  <c r="H42"/>
  <c r="J42"/>
  <c r="L42"/>
  <c r="E43"/>
  <c r="F43"/>
  <c r="G43"/>
  <c r="H43"/>
  <c r="J43"/>
  <c r="L43"/>
  <c r="E44"/>
  <c r="G44"/>
  <c r="H44"/>
  <c r="J44"/>
  <c r="L44"/>
  <c r="E45"/>
  <c r="J45"/>
  <c r="L45"/>
  <c r="E46"/>
  <c r="J46"/>
  <c r="L46"/>
  <c r="E47"/>
  <c r="G47"/>
  <c r="H47"/>
  <c r="L47"/>
  <c r="E48"/>
  <c r="G48"/>
  <c r="H48"/>
  <c r="L48"/>
  <c r="E49"/>
  <c r="G49"/>
  <c r="H49"/>
  <c r="J49"/>
  <c r="L49"/>
  <c r="E50"/>
  <c r="G50"/>
  <c r="H50"/>
  <c r="J50"/>
  <c r="L50"/>
  <c r="C31" l="1"/>
  <c r="C29"/>
  <c r="D21"/>
  <c r="C21" s="1"/>
  <c r="C12"/>
  <c r="C10"/>
  <c r="C15"/>
  <c r="C23"/>
  <c r="D28"/>
  <c r="C28" s="1"/>
  <c r="D22"/>
  <c r="C22" s="1"/>
  <c r="C32"/>
  <c r="D25"/>
  <c r="C25" s="1"/>
  <c r="D20"/>
  <c r="C20" s="1"/>
  <c r="C14"/>
  <c r="C18"/>
  <c r="C11"/>
  <c r="D16"/>
  <c r="C16" s="1"/>
  <c r="D27"/>
  <c r="C27" s="1"/>
  <c r="D24"/>
  <c r="C24" s="1"/>
  <c r="D19"/>
  <c r="C19" s="1"/>
  <c r="D17"/>
  <c r="C17" s="1"/>
</calcChain>
</file>

<file path=xl/sharedStrings.xml><?xml version="1.0" encoding="utf-8"?>
<sst xmlns="http://schemas.openxmlformats.org/spreadsheetml/2006/main" count="72" uniqueCount="62">
  <si>
    <t>Г. Сычевка, ул. Большая Пролетарская, 
д. 9</t>
  </si>
  <si>
    <t>Г. Сычевка, ул. Винокурова, д. 6</t>
  </si>
  <si>
    <t>Г. Сычевка, ул. Карла Маркса, д. 47</t>
  </si>
  <si>
    <t xml:space="preserve">Дер. Мальцево, ул. Набережная Вазузы, 
д. 2 </t>
  </si>
  <si>
    <t>Дер. Мальцево, ул. Парковая, д. 2</t>
  </si>
  <si>
    <t>Дер. Мальцево, ул. Парковая, д. 4</t>
  </si>
  <si>
    <t>Г. Сычевка, ст. Сычевка, д. 16</t>
  </si>
  <si>
    <t>Г. Сычевка, ул. Большая Советская, д. 21</t>
  </si>
  <si>
    <t>Г. Сычевка, ул. Большая Советская, д. 22</t>
  </si>
  <si>
    <t>Г. Сычевка, ул. Большая Советская, д. 24</t>
  </si>
  <si>
    <t>Г. Сычевка, ул. Винокурова, д. 6а</t>
  </si>
  <si>
    <t>Г. Сычевка, ул. Винокурова, д. 8а</t>
  </si>
  <si>
    <t>Г. Сычевка, ул. Гоголя, д. 39</t>
  </si>
  <si>
    <t>Г. Сычевка, ул. Карла Маркса, д. 4</t>
  </si>
  <si>
    <t>Г. Сычевка, ул. Карла Маркса, д. 5</t>
  </si>
  <si>
    <t>Г. Сычевка, ул. Красноармейская, д. 80а</t>
  </si>
  <si>
    <t>Г. Сычевка, ул. Крыленко, д. 20</t>
  </si>
  <si>
    <t>Г. Сычевка, ул. Крыленко, д. 38</t>
  </si>
  <si>
    <t>Г. Сычевка, ул. Ломоносова, д. 16</t>
  </si>
  <si>
    <t>Г. Сычевка, ул. Луначарского, д. 6а</t>
  </si>
  <si>
    <t>Дер. Вараксино, ул. Набережная, д. 3</t>
  </si>
  <si>
    <t>Дер. Ладыгино, ул. Луговая, д. 4</t>
  </si>
  <si>
    <t>Дер. Мальцево, ул. Труда, д. 1</t>
  </si>
  <si>
    <t>Дер. Юшино, ул. Центральная, д. 25</t>
  </si>
  <si>
    <t>№ п/п</t>
  </si>
  <si>
    <t>Адрес многоквартирного 
дома</t>
  </si>
  <si>
    <t>Предельно допустимая 
стоимость работ по капитальному
ремонту</t>
  </si>
  <si>
    <t>(руб.)
всего</t>
  </si>
  <si>
    <t>Электроснабжение</t>
  </si>
  <si>
    <t>Теплоснабжение</t>
  </si>
  <si>
    <t xml:space="preserve">Холодное водоснабжение
</t>
  </si>
  <si>
    <t>Водоотведение</t>
  </si>
  <si>
    <t>Ремонт крыши</t>
  </si>
  <si>
    <t>ед.</t>
  </si>
  <si>
    <t>Ремонт фасада</t>
  </si>
  <si>
    <t>кв.м</t>
  </si>
  <si>
    <t>руб.</t>
  </si>
  <si>
    <t xml:space="preserve">Ремонт фундамента МКД
</t>
  </si>
  <si>
    <t xml:space="preserve">Разработка проектной документации
</t>
  </si>
  <si>
    <t xml:space="preserve">Проведение обследования технического состояния МКД
</t>
  </si>
  <si>
    <t xml:space="preserve">Сроки проведения капитального ремонта
</t>
  </si>
  <si>
    <t>Всего</t>
  </si>
  <si>
    <t>Ремонт внутредомовых инженерных систем</t>
  </si>
  <si>
    <t>Г. Сычевка, 
ул. Большая Пролетарская, д. 44а</t>
  </si>
  <si>
    <t>Г. Сычевка, 
ул. Большая Пролетарская, д. 67</t>
  </si>
  <si>
    <t>Г. Сычевка, ул. Винокурова, д. 2</t>
  </si>
  <si>
    <t>Г. Сычевка, ул. Винокурова, д. 4</t>
  </si>
  <si>
    <t>Г. Сычевка, ул. Винокурова, д. 10</t>
  </si>
  <si>
    <t>Г. Сычевка, ул. Винокурова, д. 12</t>
  </si>
  <si>
    <t>Г. Сычевка, ул. Григорьева, д. 18</t>
  </si>
  <si>
    <t>Г. Сычевка, ул. Карла Маркса, д. 15</t>
  </si>
  <si>
    <t>Г. Сычевка, ул. Красноармейская, д. 82а</t>
  </si>
  <si>
    <t>Г. Сычевка, ул. Крыленко, д. 33</t>
  </si>
  <si>
    <t>Г. Сычевка, ул. Ломоносова, д. 18</t>
  </si>
  <si>
    <t>Г. Сычевка, ул. Пионерская, д. 29</t>
  </si>
  <si>
    <t>Г. Сычевка, ул. Свободная, д. 37</t>
  </si>
  <si>
    <t>Г. Сычевка, ул. СПТУ-27, д. 3</t>
  </si>
  <si>
    <t>Г. Сычевка, ул. СПТУ-27, д. 4</t>
  </si>
  <si>
    <t>Г. Сычевка, 
ул. Станционное Шоссе, д. 3</t>
  </si>
  <si>
    <t>Г. Сычевка, 
ул. Станционное Шоссе, д. 3а</t>
  </si>
  <si>
    <t>Перечень многоквартирных домов, расположенных на территории муниципального образования «Сычевский муниципальный округ» Смоленской области, в отношении которых планируется проведение капитального ремонта общего имущества, и в которых собственники помещений, формирующие фонд капитального ремонта на счете регионального оператора, не приняли решение о проведении капитального ремонта общего имущества многоквартирного дома</t>
  </si>
  <si>
    <t>УТВЕРЖДЕН
постановлением Администрации 
муниципального образования
"Сычевский муниципальный 
                                                                                                                                                                                                                                             округ" Смоленской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24.09.2025 года № 642 
(в редакции постановления                                                                                                                                                                                                                                                                                                                                                                                                                                                                   Администрации муниципального  
                                                                                                                                                                                                                                                                                                                                                               образования "Сычевский муниципальный                                                                                                                                                                                                                                                                                                                                                                         округ" Смоленской области 
от 07.10.2025 года № 672)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</si>
</sst>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0"/>
  <sheetViews>
    <sheetView tabSelected="1" topLeftCell="A18" zoomScale="60" zoomScaleNormal="60" workbookViewId="0">
      <selection activeCell="E7" sqref="E7"/>
    </sheetView>
  </sheetViews>
  <sheetFormatPr defaultRowHeight="15"/>
  <cols>
    <col min="1" max="1" width="9.140625" style="5"/>
    <col min="2" max="2" width="20.5703125" style="5" customWidth="1"/>
    <col min="3" max="3" width="22.42578125" style="5" customWidth="1"/>
    <col min="4" max="4" width="18.42578125" style="5" customWidth="1"/>
    <col min="5" max="6" width="18.85546875" style="5" customWidth="1"/>
    <col min="7" max="7" width="18.7109375" style="5" customWidth="1"/>
    <col min="8" max="8" width="18.5703125" style="5" customWidth="1"/>
    <col min="9" max="9" width="9.140625" style="5"/>
    <col min="10" max="10" width="18.140625" style="5" customWidth="1"/>
    <col min="11" max="11" width="9.140625" style="5"/>
    <col min="12" max="12" width="18.5703125" style="5" customWidth="1"/>
    <col min="13" max="13" width="18.140625" style="5" customWidth="1"/>
    <col min="14" max="14" width="18.5703125" style="5" customWidth="1"/>
    <col min="15" max="15" width="18" style="5" customWidth="1"/>
    <col min="16" max="16" width="18.28515625" style="11" customWidth="1"/>
  </cols>
  <sheetData>
    <row r="1" spans="1:17" ht="15" customHeight="1">
      <c r="A1" s="17" t="s">
        <v>61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4"/>
    </row>
    <row r="2" spans="1:17" ht="186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4"/>
    </row>
    <row r="3" spans="1:17" ht="67.5" customHeight="1">
      <c r="A3" s="22" t="s">
        <v>60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"/>
    </row>
    <row r="4" spans="1:17" ht="3" hidden="1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4"/>
    </row>
    <row r="5" spans="1:17" ht="148.5" hidden="1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4"/>
    </row>
    <row r="6" spans="1:17" s="4" customFormat="1" ht="15" customHeight="1">
      <c r="A6" s="19" t="s">
        <v>24</v>
      </c>
      <c r="B6" s="20" t="s">
        <v>25</v>
      </c>
      <c r="C6" s="20" t="s">
        <v>26</v>
      </c>
      <c r="D6" s="19" t="s">
        <v>42</v>
      </c>
      <c r="E6" s="19"/>
      <c r="F6" s="19"/>
      <c r="G6" s="19"/>
      <c r="H6" s="19"/>
      <c r="I6" s="19" t="s">
        <v>32</v>
      </c>
      <c r="J6" s="19"/>
      <c r="K6" s="19" t="s">
        <v>34</v>
      </c>
      <c r="L6" s="19"/>
      <c r="M6" s="20" t="s">
        <v>37</v>
      </c>
      <c r="N6" s="20" t="s">
        <v>38</v>
      </c>
      <c r="O6" s="20" t="s">
        <v>39</v>
      </c>
      <c r="P6" s="21" t="s">
        <v>40</v>
      </c>
    </row>
    <row r="7" spans="1:17" s="5" customFormat="1" ht="45" customHeight="1">
      <c r="A7" s="19"/>
      <c r="B7" s="20"/>
      <c r="C7" s="20"/>
      <c r="D7" s="3" t="s">
        <v>41</v>
      </c>
      <c r="E7" s="3" t="s">
        <v>28</v>
      </c>
      <c r="F7" s="3" t="s">
        <v>29</v>
      </c>
      <c r="G7" s="2" t="s">
        <v>30</v>
      </c>
      <c r="H7" s="3" t="s">
        <v>31</v>
      </c>
      <c r="I7" s="19"/>
      <c r="J7" s="19"/>
      <c r="K7" s="19"/>
      <c r="L7" s="19"/>
      <c r="M7" s="20"/>
      <c r="N7" s="20"/>
      <c r="O7" s="20"/>
      <c r="P7" s="21"/>
    </row>
    <row r="8" spans="1:17" s="5" customFormat="1" ht="30">
      <c r="A8" s="19"/>
      <c r="B8" s="20"/>
      <c r="C8" s="2" t="s">
        <v>27</v>
      </c>
      <c r="D8" s="3" t="s">
        <v>36</v>
      </c>
      <c r="E8" s="3" t="s">
        <v>36</v>
      </c>
      <c r="F8" s="3" t="s">
        <v>36</v>
      </c>
      <c r="G8" s="3" t="s">
        <v>36</v>
      </c>
      <c r="H8" s="3" t="s">
        <v>36</v>
      </c>
      <c r="I8" s="3" t="s">
        <v>33</v>
      </c>
      <c r="J8" s="3" t="s">
        <v>36</v>
      </c>
      <c r="K8" s="3" t="s">
        <v>35</v>
      </c>
      <c r="L8" s="3" t="s">
        <v>36</v>
      </c>
      <c r="M8" s="3" t="s">
        <v>36</v>
      </c>
      <c r="N8" s="3" t="s">
        <v>36</v>
      </c>
      <c r="O8" s="3" t="s">
        <v>36</v>
      </c>
      <c r="P8" s="21"/>
    </row>
    <row r="9" spans="1:17" s="1" customFormat="1" ht="60">
      <c r="A9" s="12">
        <v>1</v>
      </c>
      <c r="B9" s="6" t="s">
        <v>0</v>
      </c>
      <c r="C9" s="7">
        <f>D9+L9+N9+J9+O9</f>
        <v>815724.89999999991</v>
      </c>
      <c r="D9" s="7">
        <f>SUM(E9:H9)</f>
        <v>715724.89999999991</v>
      </c>
      <c r="E9" s="7">
        <f>804*430.9</f>
        <v>346443.6</v>
      </c>
      <c r="F9" s="7">
        <v>0</v>
      </c>
      <c r="G9" s="7">
        <f>390*430.9</f>
        <v>168051</v>
      </c>
      <c r="H9" s="7">
        <f>467*430.9</f>
        <v>201230.3</v>
      </c>
      <c r="I9" s="7">
        <v>0</v>
      </c>
      <c r="J9" s="7">
        <v>0</v>
      </c>
      <c r="K9" s="7">
        <v>0</v>
      </c>
      <c r="L9" s="7">
        <f>K9*3751</f>
        <v>0</v>
      </c>
      <c r="M9" s="7">
        <v>0</v>
      </c>
      <c r="N9" s="7">
        <v>50000</v>
      </c>
      <c r="O9" s="7">
        <v>50000</v>
      </c>
      <c r="P9" s="9">
        <v>2026</v>
      </c>
    </row>
    <row r="10" spans="1:17" s="1" customFormat="1" ht="30">
      <c r="A10" s="12">
        <v>2</v>
      </c>
      <c r="B10" s="6" t="s">
        <v>1</v>
      </c>
      <c r="C10" s="7">
        <f>D10+L10+N10+J10+O10</f>
        <v>3301500</v>
      </c>
      <c r="D10" s="7">
        <f t="shared" ref="D10:D11" si="0">SUM(E10:H10)</f>
        <v>0</v>
      </c>
      <c r="E10" s="7">
        <v>0</v>
      </c>
      <c r="F10" s="7">
        <v>0</v>
      </c>
      <c r="G10" s="7">
        <v>0</v>
      </c>
      <c r="H10" s="7">
        <v>0</v>
      </c>
      <c r="I10" s="7">
        <v>426</v>
      </c>
      <c r="J10" s="7">
        <f>I10*7750</f>
        <v>3301500</v>
      </c>
      <c r="K10" s="7">
        <v>0</v>
      </c>
      <c r="L10" s="7">
        <f t="shared" ref="L10:L11" si="1">K10*3751</f>
        <v>0</v>
      </c>
      <c r="M10" s="7">
        <v>0</v>
      </c>
      <c r="N10" s="7">
        <v>0</v>
      </c>
      <c r="O10" s="7">
        <v>0</v>
      </c>
      <c r="P10" s="9">
        <v>2026</v>
      </c>
    </row>
    <row r="11" spans="1:17" s="1" customFormat="1" ht="30">
      <c r="A11" s="12">
        <v>3</v>
      </c>
      <c r="B11" s="6" t="s">
        <v>2</v>
      </c>
      <c r="C11" s="7">
        <f>D11+L11+N11+J11+O11</f>
        <v>3217583</v>
      </c>
      <c r="D11" s="7">
        <f t="shared" si="0"/>
        <v>0</v>
      </c>
      <c r="E11" s="7">
        <v>0</v>
      </c>
      <c r="F11" s="7">
        <v>0</v>
      </c>
      <c r="G11" s="7">
        <v>0</v>
      </c>
      <c r="H11" s="7">
        <v>0</v>
      </c>
      <c r="I11" s="7">
        <v>254</v>
      </c>
      <c r="J11" s="7">
        <f>I11*7750</f>
        <v>1968500</v>
      </c>
      <c r="K11" s="7">
        <v>333</v>
      </c>
      <c r="L11" s="7">
        <f t="shared" si="1"/>
        <v>1249083</v>
      </c>
      <c r="M11" s="7">
        <v>0</v>
      </c>
      <c r="N11" s="7">
        <v>0</v>
      </c>
      <c r="O11" s="7">
        <v>0</v>
      </c>
      <c r="P11" s="9">
        <v>2026</v>
      </c>
    </row>
    <row r="12" spans="1:17" s="1" customFormat="1" ht="45">
      <c r="A12" s="12">
        <v>4</v>
      </c>
      <c r="B12" s="6" t="s">
        <v>3</v>
      </c>
      <c r="C12" s="7">
        <f t="shared" ref="C12:C37" si="2">D12+L12+N12+J12+O12+M12</f>
        <v>545711.19999999995</v>
      </c>
      <c r="D12" s="7">
        <f t="shared" ref="D12:D32" si="3">SUM(E12:H12)</f>
        <v>295711.2</v>
      </c>
      <c r="E12" s="7">
        <f>804*367.8</f>
        <v>295711.2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f>K12*3751</f>
        <v>0</v>
      </c>
      <c r="M12" s="7">
        <v>150000</v>
      </c>
      <c r="N12" s="7">
        <v>50000</v>
      </c>
      <c r="O12" s="7">
        <v>50000</v>
      </c>
      <c r="P12" s="9">
        <v>2026</v>
      </c>
    </row>
    <row r="13" spans="1:17" s="1" customFormat="1" ht="30">
      <c r="A13" s="12">
        <v>5</v>
      </c>
      <c r="B13" s="6" t="s">
        <v>4</v>
      </c>
      <c r="C13" s="7">
        <f t="shared" si="2"/>
        <v>408227.2</v>
      </c>
      <c r="D13" s="7">
        <f t="shared" si="3"/>
        <v>158227.20000000001</v>
      </c>
      <c r="E13" s="7">
        <f>804*196.8</f>
        <v>158227.20000000001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f>K13*3751</f>
        <v>0</v>
      </c>
      <c r="M13" s="7">
        <v>150000</v>
      </c>
      <c r="N13" s="7">
        <v>50000</v>
      </c>
      <c r="O13" s="7">
        <v>50000</v>
      </c>
      <c r="P13" s="9">
        <v>2026</v>
      </c>
    </row>
    <row r="14" spans="1:17" s="1" customFormat="1" ht="30">
      <c r="A14" s="12">
        <v>6</v>
      </c>
      <c r="B14" s="6" t="s">
        <v>5</v>
      </c>
      <c r="C14" s="7">
        <f t="shared" si="2"/>
        <v>2733512</v>
      </c>
      <c r="D14" s="7">
        <f t="shared" si="3"/>
        <v>183312</v>
      </c>
      <c r="E14" s="7">
        <f>804*228</f>
        <v>183312</v>
      </c>
      <c r="F14" s="7">
        <v>0</v>
      </c>
      <c r="G14" s="7">
        <v>0</v>
      </c>
      <c r="H14" s="7">
        <v>0</v>
      </c>
      <c r="I14" s="7">
        <v>200</v>
      </c>
      <c r="J14" s="7">
        <f>I14*7750</f>
        <v>1550000</v>
      </c>
      <c r="K14" s="7">
        <v>200</v>
      </c>
      <c r="L14" s="7">
        <f>K14*3751</f>
        <v>750200</v>
      </c>
      <c r="M14" s="7">
        <v>150000</v>
      </c>
      <c r="N14" s="7">
        <v>50000</v>
      </c>
      <c r="O14" s="7">
        <v>50000</v>
      </c>
      <c r="P14" s="9">
        <v>2026</v>
      </c>
    </row>
    <row r="15" spans="1:17" s="1" customFormat="1" ht="30">
      <c r="A15" s="12">
        <v>7</v>
      </c>
      <c r="B15" s="6" t="s">
        <v>6</v>
      </c>
      <c r="C15" s="7">
        <f t="shared" si="2"/>
        <v>1666984.4</v>
      </c>
      <c r="D15" s="7">
        <f t="shared" si="3"/>
        <v>366704.4</v>
      </c>
      <c r="E15" s="7">
        <f>804*456.1</f>
        <v>366704.4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280</v>
      </c>
      <c r="L15" s="7">
        <f t="shared" ref="L15:L50" si="4">K15*3751</f>
        <v>1050280</v>
      </c>
      <c r="M15" s="7">
        <v>150000</v>
      </c>
      <c r="N15" s="7">
        <v>50000</v>
      </c>
      <c r="O15" s="7">
        <v>50000</v>
      </c>
      <c r="P15" s="9">
        <v>2027</v>
      </c>
    </row>
    <row r="16" spans="1:17" s="1" customFormat="1" ht="45">
      <c r="A16" s="12">
        <v>8</v>
      </c>
      <c r="B16" s="6" t="s">
        <v>7</v>
      </c>
      <c r="C16" s="7">
        <f t="shared" si="2"/>
        <v>4084670.8</v>
      </c>
      <c r="D16" s="7">
        <f t="shared" si="3"/>
        <v>659390.80000000005</v>
      </c>
      <c r="E16" s="7">
        <f>804*228.4</f>
        <v>183633.6</v>
      </c>
      <c r="F16" s="7">
        <f>1693*228.4</f>
        <v>386681.2</v>
      </c>
      <c r="G16" s="7">
        <f>390*228.4</f>
        <v>89076</v>
      </c>
      <c r="H16" s="7">
        <v>0</v>
      </c>
      <c r="I16" s="7">
        <v>300</v>
      </c>
      <c r="J16" s="7">
        <f>I16*7750</f>
        <v>2325000</v>
      </c>
      <c r="K16" s="7">
        <v>280</v>
      </c>
      <c r="L16" s="7">
        <f t="shared" si="4"/>
        <v>1050280</v>
      </c>
      <c r="M16" s="7">
        <v>0</v>
      </c>
      <c r="N16" s="7">
        <v>50000</v>
      </c>
      <c r="O16" s="7">
        <v>0</v>
      </c>
      <c r="P16" s="9">
        <v>2027</v>
      </c>
    </row>
    <row r="17" spans="1:16" s="1" customFormat="1" ht="45">
      <c r="A17" s="12">
        <v>9</v>
      </c>
      <c r="B17" s="6" t="s">
        <v>8</v>
      </c>
      <c r="C17" s="7">
        <f t="shared" si="2"/>
        <v>2295076.4000000004</v>
      </c>
      <c r="D17" s="7">
        <f t="shared" si="3"/>
        <v>994796.40000000014</v>
      </c>
      <c r="E17" s="7">
        <f>804*296.6</f>
        <v>238466.40000000002</v>
      </c>
      <c r="F17" s="7">
        <f>1693*296.6</f>
        <v>502143.80000000005</v>
      </c>
      <c r="G17" s="7">
        <f>390*296.6</f>
        <v>115674.00000000001</v>
      </c>
      <c r="H17" s="7">
        <f>467*296.6</f>
        <v>138512.20000000001</v>
      </c>
      <c r="I17" s="7">
        <v>0</v>
      </c>
      <c r="J17" s="7">
        <v>0</v>
      </c>
      <c r="K17" s="7">
        <v>280</v>
      </c>
      <c r="L17" s="7">
        <f t="shared" si="4"/>
        <v>1050280</v>
      </c>
      <c r="M17" s="7">
        <v>150000</v>
      </c>
      <c r="N17" s="7">
        <v>50000</v>
      </c>
      <c r="O17" s="7">
        <v>50000</v>
      </c>
      <c r="P17" s="9">
        <v>2027</v>
      </c>
    </row>
    <row r="18" spans="1:16" s="1" customFormat="1" ht="45">
      <c r="A18" s="12">
        <v>10</v>
      </c>
      <c r="B18" s="6" t="s">
        <v>9</v>
      </c>
      <c r="C18" s="7">
        <f t="shared" si="2"/>
        <v>2480000</v>
      </c>
      <c r="D18" s="7">
        <f t="shared" si="3"/>
        <v>0</v>
      </c>
      <c r="E18" s="7">
        <v>0</v>
      </c>
      <c r="F18" s="7">
        <v>0</v>
      </c>
      <c r="G18" s="7">
        <v>0</v>
      </c>
      <c r="H18" s="7">
        <v>0</v>
      </c>
      <c r="I18" s="7">
        <v>320</v>
      </c>
      <c r="J18" s="7">
        <f>I18*7750</f>
        <v>2480000</v>
      </c>
      <c r="K18" s="7">
        <v>0</v>
      </c>
      <c r="L18" s="7">
        <f t="shared" si="4"/>
        <v>0</v>
      </c>
      <c r="M18" s="7">
        <v>0</v>
      </c>
      <c r="N18" s="7">
        <v>0</v>
      </c>
      <c r="O18" s="7">
        <v>0</v>
      </c>
      <c r="P18" s="9">
        <v>2027</v>
      </c>
    </row>
    <row r="19" spans="1:16" s="1" customFormat="1" ht="30">
      <c r="A19" s="12">
        <v>11</v>
      </c>
      <c r="B19" s="6" t="s">
        <v>10</v>
      </c>
      <c r="C19" s="7">
        <f t="shared" si="2"/>
        <v>6611449.5</v>
      </c>
      <c r="D19" s="7">
        <f t="shared" si="3"/>
        <v>871194.5</v>
      </c>
      <c r="E19" s="7">
        <f>804*524.5</f>
        <v>421698</v>
      </c>
      <c r="F19" s="7">
        <v>0</v>
      </c>
      <c r="G19" s="7">
        <f>390*524.5</f>
        <v>204555</v>
      </c>
      <c r="H19" s="7">
        <f>467*524.5</f>
        <v>244941.5</v>
      </c>
      <c r="I19" s="7">
        <v>524.5</v>
      </c>
      <c r="J19" s="7">
        <f>I19*7750</f>
        <v>4064875</v>
      </c>
      <c r="K19" s="7">
        <v>380</v>
      </c>
      <c r="L19" s="7">
        <f t="shared" si="4"/>
        <v>1425380</v>
      </c>
      <c r="M19" s="7">
        <v>150000</v>
      </c>
      <c r="N19" s="7">
        <v>50000</v>
      </c>
      <c r="O19" s="7">
        <v>50000</v>
      </c>
      <c r="P19" s="9">
        <v>2027</v>
      </c>
    </row>
    <row r="20" spans="1:16" s="1" customFormat="1" ht="30">
      <c r="A20" s="12">
        <v>12</v>
      </c>
      <c r="B20" s="6" t="s">
        <v>11</v>
      </c>
      <c r="C20" s="7">
        <f t="shared" si="2"/>
        <v>6696148.5</v>
      </c>
      <c r="D20" s="7">
        <f t="shared" si="3"/>
        <v>886143.5</v>
      </c>
      <c r="E20" s="7">
        <f>804*533.5</f>
        <v>428934</v>
      </c>
      <c r="F20" s="7">
        <v>0</v>
      </c>
      <c r="G20" s="7">
        <f>390*533.5</f>
        <v>208065</v>
      </c>
      <c r="H20" s="7">
        <f>467*533.5</f>
        <v>249144.5</v>
      </c>
      <c r="I20" s="7">
        <v>533.5</v>
      </c>
      <c r="J20" s="7">
        <f>I20*7750</f>
        <v>4134625</v>
      </c>
      <c r="K20" s="7">
        <v>380</v>
      </c>
      <c r="L20" s="7">
        <f t="shared" si="4"/>
        <v>1425380</v>
      </c>
      <c r="M20" s="7">
        <v>150000</v>
      </c>
      <c r="N20" s="7">
        <v>50000</v>
      </c>
      <c r="O20" s="7">
        <v>50000</v>
      </c>
      <c r="P20" s="9">
        <v>2027</v>
      </c>
    </row>
    <row r="21" spans="1:16" s="1" customFormat="1" ht="30">
      <c r="A21" s="12">
        <v>13</v>
      </c>
      <c r="B21" s="6" t="s">
        <v>12</v>
      </c>
      <c r="C21" s="7">
        <f t="shared" si="2"/>
        <v>5554862.2000000002</v>
      </c>
      <c r="D21" s="7">
        <f t="shared" si="3"/>
        <v>697952.2</v>
      </c>
      <c r="E21" s="7">
        <f>804*420.2</f>
        <v>337840.8</v>
      </c>
      <c r="F21" s="7">
        <v>0</v>
      </c>
      <c r="G21" s="7">
        <f>390*420.2</f>
        <v>163878</v>
      </c>
      <c r="H21" s="7">
        <f>467*420.2</f>
        <v>196233.4</v>
      </c>
      <c r="I21" s="7">
        <v>420.2</v>
      </c>
      <c r="J21" s="7">
        <f>I21*7750</f>
        <v>3256550</v>
      </c>
      <c r="K21" s="7">
        <v>360</v>
      </c>
      <c r="L21" s="7">
        <f t="shared" si="4"/>
        <v>1350360</v>
      </c>
      <c r="M21" s="7">
        <v>150000</v>
      </c>
      <c r="N21" s="7">
        <v>50000</v>
      </c>
      <c r="O21" s="7">
        <v>50000</v>
      </c>
      <c r="P21" s="9">
        <v>2027</v>
      </c>
    </row>
    <row r="22" spans="1:16" s="1" customFormat="1" ht="30">
      <c r="A22" s="12">
        <v>14</v>
      </c>
      <c r="B22" s="6" t="s">
        <v>13</v>
      </c>
      <c r="C22" s="7">
        <f t="shared" si="2"/>
        <v>6985520.5</v>
      </c>
      <c r="D22" s="7">
        <f t="shared" si="3"/>
        <v>810568</v>
      </c>
      <c r="E22" s="7">
        <f>804*488</f>
        <v>392352</v>
      </c>
      <c r="F22" s="7">
        <v>0</v>
      </c>
      <c r="G22" s="7">
        <f>390*488</f>
        <v>190320</v>
      </c>
      <c r="H22" s="7">
        <f>467*488</f>
        <v>227896</v>
      </c>
      <c r="I22" s="7">
        <v>578.16999999999996</v>
      </c>
      <c r="J22" s="7">
        <f>I22*7750</f>
        <v>4480817.5</v>
      </c>
      <c r="K22" s="7">
        <v>385</v>
      </c>
      <c r="L22" s="7">
        <f t="shared" si="4"/>
        <v>1444135</v>
      </c>
      <c r="M22" s="7">
        <v>150000</v>
      </c>
      <c r="N22" s="7">
        <v>50000</v>
      </c>
      <c r="O22" s="7">
        <v>50000</v>
      </c>
      <c r="P22" s="9">
        <v>2027</v>
      </c>
    </row>
    <row r="23" spans="1:16" s="1" customFormat="1" ht="30">
      <c r="A23" s="12">
        <v>15</v>
      </c>
      <c r="B23" s="6" t="s">
        <v>14</v>
      </c>
      <c r="C23" s="7">
        <f t="shared" si="2"/>
        <v>2197973.94</v>
      </c>
      <c r="D23" s="7">
        <f t="shared" si="3"/>
        <v>710143.94000000006</v>
      </c>
      <c r="E23" s="7">
        <f>804*427.54</f>
        <v>343742.16000000003</v>
      </c>
      <c r="F23" s="7">
        <v>0</v>
      </c>
      <c r="G23" s="7">
        <f>390*427.54</f>
        <v>166740.6</v>
      </c>
      <c r="H23" s="7">
        <f>467*427.54</f>
        <v>199661.18000000002</v>
      </c>
      <c r="I23" s="7">
        <v>0</v>
      </c>
      <c r="J23" s="7">
        <v>0</v>
      </c>
      <c r="K23" s="7">
        <v>330</v>
      </c>
      <c r="L23" s="7">
        <f t="shared" si="4"/>
        <v>1237830</v>
      </c>
      <c r="M23" s="7">
        <v>150000</v>
      </c>
      <c r="N23" s="7">
        <v>50000</v>
      </c>
      <c r="O23" s="7">
        <v>50000</v>
      </c>
      <c r="P23" s="9">
        <v>2027</v>
      </c>
    </row>
    <row r="24" spans="1:16" s="1" customFormat="1" ht="45">
      <c r="A24" s="12">
        <v>16</v>
      </c>
      <c r="B24" s="6" t="s">
        <v>15</v>
      </c>
      <c r="C24" s="7">
        <f t="shared" si="2"/>
        <v>9076997.5</v>
      </c>
      <c r="D24" s="7">
        <f t="shared" si="3"/>
        <v>1299732.5</v>
      </c>
      <c r="E24" s="7">
        <f>804*782.5</f>
        <v>629130</v>
      </c>
      <c r="F24" s="7">
        <v>0</v>
      </c>
      <c r="G24" s="7">
        <f>390*782.5</f>
        <v>305175</v>
      </c>
      <c r="H24" s="7">
        <f>467*782.5</f>
        <v>365427.5</v>
      </c>
      <c r="I24" s="7">
        <v>782.5</v>
      </c>
      <c r="J24" s="7">
        <f>I24*7750</f>
        <v>6064375</v>
      </c>
      <c r="K24" s="7">
        <v>390</v>
      </c>
      <c r="L24" s="7">
        <f t="shared" si="4"/>
        <v>1462890</v>
      </c>
      <c r="M24" s="7">
        <v>150000</v>
      </c>
      <c r="N24" s="7">
        <v>50000</v>
      </c>
      <c r="O24" s="7">
        <v>50000</v>
      </c>
      <c r="P24" s="9">
        <v>2027</v>
      </c>
    </row>
    <row r="25" spans="1:16" s="1" customFormat="1" ht="30">
      <c r="A25" s="12">
        <v>17</v>
      </c>
      <c r="B25" s="6" t="s">
        <v>16</v>
      </c>
      <c r="C25" s="7">
        <f t="shared" si="2"/>
        <v>5587800.7000000002</v>
      </c>
      <c r="D25" s="7">
        <f t="shared" si="3"/>
        <v>703765.7</v>
      </c>
      <c r="E25" s="7">
        <f>804*423.7</f>
        <v>340654.8</v>
      </c>
      <c r="F25" s="7">
        <v>0</v>
      </c>
      <c r="G25" s="7">
        <f>390*423.7</f>
        <v>165243</v>
      </c>
      <c r="H25" s="7">
        <f>467*423.7</f>
        <v>197867.9</v>
      </c>
      <c r="I25" s="7">
        <v>423.7</v>
      </c>
      <c r="J25" s="7">
        <f>I25*7750</f>
        <v>3283675</v>
      </c>
      <c r="K25" s="7">
        <v>360</v>
      </c>
      <c r="L25" s="7">
        <f t="shared" si="4"/>
        <v>1350360</v>
      </c>
      <c r="M25" s="7">
        <v>150000</v>
      </c>
      <c r="N25" s="7">
        <v>50000</v>
      </c>
      <c r="O25" s="7">
        <v>50000</v>
      </c>
      <c r="P25" s="9">
        <v>2027</v>
      </c>
    </row>
    <row r="26" spans="1:16" s="1" customFormat="1" ht="30">
      <c r="A26" s="12">
        <v>18</v>
      </c>
      <c r="B26" s="6" t="s">
        <v>17</v>
      </c>
      <c r="C26" s="7">
        <f t="shared" si="2"/>
        <v>287099.59999999998</v>
      </c>
      <c r="D26" s="7">
        <f t="shared" si="3"/>
        <v>237099.59999999998</v>
      </c>
      <c r="E26" s="7">
        <f>804*294.9</f>
        <v>237099.59999999998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f t="shared" si="4"/>
        <v>0</v>
      </c>
      <c r="M26" s="7">
        <v>0</v>
      </c>
      <c r="N26" s="7">
        <v>50000</v>
      </c>
      <c r="O26" s="7">
        <v>0</v>
      </c>
      <c r="P26" s="9">
        <v>2027</v>
      </c>
    </row>
    <row r="27" spans="1:16" s="1" customFormat="1" ht="30">
      <c r="A27" s="12">
        <v>19</v>
      </c>
      <c r="B27" s="6" t="s">
        <v>18</v>
      </c>
      <c r="C27" s="7">
        <f t="shared" si="2"/>
        <v>1955009.8</v>
      </c>
      <c r="D27" s="7">
        <f t="shared" si="3"/>
        <v>479629.8</v>
      </c>
      <c r="E27" s="7">
        <f>804*401.7</f>
        <v>322966.8</v>
      </c>
      <c r="F27" s="7">
        <v>0</v>
      </c>
      <c r="G27" s="7">
        <f>390*401.7</f>
        <v>156663</v>
      </c>
      <c r="H27" s="7">
        <v>0</v>
      </c>
      <c r="I27" s="7">
        <v>0</v>
      </c>
      <c r="J27" s="7">
        <v>0</v>
      </c>
      <c r="K27" s="7">
        <v>380</v>
      </c>
      <c r="L27" s="7">
        <f t="shared" si="4"/>
        <v>1425380</v>
      </c>
      <c r="M27" s="7">
        <v>0</v>
      </c>
      <c r="N27" s="7">
        <v>50000</v>
      </c>
      <c r="O27" s="7">
        <v>0</v>
      </c>
      <c r="P27" s="9">
        <v>2027</v>
      </c>
    </row>
    <row r="28" spans="1:16" s="1" customFormat="1" ht="30">
      <c r="A28" s="12">
        <v>20</v>
      </c>
      <c r="B28" s="6" t="s">
        <v>19</v>
      </c>
      <c r="C28" s="7">
        <f t="shared" si="2"/>
        <v>3812075.8999999994</v>
      </c>
      <c r="D28" s="7">
        <f t="shared" si="3"/>
        <v>443320.89999999997</v>
      </c>
      <c r="E28" s="7">
        <f>804*266.9</f>
        <v>214587.59999999998</v>
      </c>
      <c r="F28" s="7">
        <v>0</v>
      </c>
      <c r="G28" s="7">
        <f>390*266.9</f>
        <v>104090.99999999999</v>
      </c>
      <c r="H28" s="7">
        <f>467*266.9</f>
        <v>124642.29999999999</v>
      </c>
      <c r="I28" s="7">
        <v>266.89999999999998</v>
      </c>
      <c r="J28" s="7">
        <f>I28*7750</f>
        <v>2068474.9999999998</v>
      </c>
      <c r="K28" s="7">
        <v>280</v>
      </c>
      <c r="L28" s="7">
        <f t="shared" si="4"/>
        <v>1050280</v>
      </c>
      <c r="M28" s="7">
        <v>150000</v>
      </c>
      <c r="N28" s="7">
        <v>50000</v>
      </c>
      <c r="O28" s="7">
        <v>50000</v>
      </c>
      <c r="P28" s="9">
        <v>2027</v>
      </c>
    </row>
    <row r="29" spans="1:16" s="1" customFormat="1" ht="30">
      <c r="A29" s="12">
        <v>21</v>
      </c>
      <c r="B29" s="6" t="s">
        <v>20</v>
      </c>
      <c r="C29" s="7">
        <f t="shared" si="2"/>
        <v>7022756.2000000002</v>
      </c>
      <c r="D29" s="7">
        <f t="shared" si="3"/>
        <v>495907.19999999995</v>
      </c>
      <c r="E29" s="7">
        <f>804*616.8</f>
        <v>495907.19999999995</v>
      </c>
      <c r="F29" s="7">
        <v>0</v>
      </c>
      <c r="G29" s="7">
        <v>0</v>
      </c>
      <c r="H29" s="7">
        <v>0</v>
      </c>
      <c r="I29" s="7">
        <v>616.79999999999995</v>
      </c>
      <c r="J29" s="7">
        <f>I29*7750</f>
        <v>4780200</v>
      </c>
      <c r="K29" s="7">
        <v>399</v>
      </c>
      <c r="L29" s="7">
        <f t="shared" si="4"/>
        <v>1496649</v>
      </c>
      <c r="M29" s="7">
        <v>150000</v>
      </c>
      <c r="N29" s="7">
        <v>50000</v>
      </c>
      <c r="O29" s="7">
        <v>50000</v>
      </c>
      <c r="P29" s="9">
        <v>2027</v>
      </c>
    </row>
    <row r="30" spans="1:16" s="1" customFormat="1" ht="30">
      <c r="A30" s="12">
        <v>22</v>
      </c>
      <c r="B30" s="6" t="s">
        <v>21</v>
      </c>
      <c r="C30" s="7">
        <f t="shared" si="2"/>
        <v>2378765</v>
      </c>
      <c r="D30" s="7">
        <f t="shared" si="3"/>
        <v>139092</v>
      </c>
      <c r="E30" s="7">
        <f>804*173</f>
        <v>139092</v>
      </c>
      <c r="F30" s="7">
        <v>0</v>
      </c>
      <c r="G30" s="7">
        <v>0</v>
      </c>
      <c r="H30" s="7">
        <v>0</v>
      </c>
      <c r="I30" s="7">
        <v>173</v>
      </c>
      <c r="J30" s="7">
        <f>I30*7750</f>
        <v>1340750</v>
      </c>
      <c r="K30" s="7">
        <v>173</v>
      </c>
      <c r="L30" s="7">
        <f t="shared" si="4"/>
        <v>648923</v>
      </c>
      <c r="M30" s="7">
        <v>150000</v>
      </c>
      <c r="N30" s="7">
        <v>50000</v>
      </c>
      <c r="O30" s="7">
        <v>50000</v>
      </c>
      <c r="P30" s="9">
        <v>2027</v>
      </c>
    </row>
    <row r="31" spans="1:16" s="1" customFormat="1" ht="30">
      <c r="A31" s="12">
        <v>23</v>
      </c>
      <c r="B31" s="6" t="s">
        <v>22</v>
      </c>
      <c r="C31" s="7">
        <f t="shared" si="2"/>
        <v>4853268.8</v>
      </c>
      <c r="D31" s="7">
        <f t="shared" si="3"/>
        <v>323368.8</v>
      </c>
      <c r="E31" s="7">
        <f>804*402.2</f>
        <v>323368.8</v>
      </c>
      <c r="F31" s="7">
        <v>0</v>
      </c>
      <c r="G31" s="7">
        <v>0</v>
      </c>
      <c r="H31" s="7">
        <v>0</v>
      </c>
      <c r="I31" s="7">
        <v>402.2</v>
      </c>
      <c r="J31" s="7">
        <f>I31*7750</f>
        <v>3117050</v>
      </c>
      <c r="K31" s="7">
        <v>350</v>
      </c>
      <c r="L31" s="7">
        <f t="shared" si="4"/>
        <v>1312850</v>
      </c>
      <c r="M31" s="7">
        <v>0</v>
      </c>
      <c r="N31" s="7">
        <v>50000</v>
      </c>
      <c r="O31" s="7">
        <v>50000</v>
      </c>
      <c r="P31" s="9">
        <v>2027</v>
      </c>
    </row>
    <row r="32" spans="1:16" s="1" customFormat="1" ht="30">
      <c r="A32" s="12">
        <v>24</v>
      </c>
      <c r="B32" s="6" t="s">
        <v>23</v>
      </c>
      <c r="C32" s="7">
        <f t="shared" si="2"/>
        <v>1897833.2</v>
      </c>
      <c r="D32" s="7">
        <f t="shared" si="3"/>
        <v>372493.2</v>
      </c>
      <c r="E32" s="7">
        <f>804*463.3</f>
        <v>372493.2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340</v>
      </c>
      <c r="L32" s="7">
        <f t="shared" si="4"/>
        <v>1275340</v>
      </c>
      <c r="M32" s="7">
        <v>150000</v>
      </c>
      <c r="N32" s="7">
        <v>50000</v>
      </c>
      <c r="O32" s="7">
        <v>50000</v>
      </c>
      <c r="P32" s="9">
        <v>2027</v>
      </c>
    </row>
    <row r="33" spans="1:16" s="15" customFormat="1" ht="54" customHeight="1">
      <c r="A33" s="12">
        <v>25</v>
      </c>
      <c r="B33" s="6" t="s">
        <v>43</v>
      </c>
      <c r="C33" s="13">
        <f t="shared" si="2"/>
        <v>2561277.1</v>
      </c>
      <c r="D33" s="12">
        <v>998427.10000000009</v>
      </c>
      <c r="E33" s="7">
        <f>804*601.1</f>
        <v>483284.4</v>
      </c>
      <c r="F33" s="7">
        <v>0</v>
      </c>
      <c r="G33" s="7">
        <f>390*601.1</f>
        <v>234429</v>
      </c>
      <c r="H33" s="7">
        <f>467*601.1</f>
        <v>280713.7</v>
      </c>
      <c r="I33" s="7">
        <v>0</v>
      </c>
      <c r="J33" s="7">
        <v>0</v>
      </c>
      <c r="K33" s="7">
        <v>350</v>
      </c>
      <c r="L33" s="7">
        <f t="shared" si="4"/>
        <v>1312850</v>
      </c>
      <c r="M33" s="7">
        <v>150000</v>
      </c>
      <c r="N33" s="7">
        <v>50000</v>
      </c>
      <c r="O33" s="7">
        <v>50000</v>
      </c>
      <c r="P33" s="10">
        <v>2028</v>
      </c>
    </row>
    <row r="34" spans="1:16" s="15" customFormat="1" ht="45">
      <c r="A34" s="12">
        <v>26</v>
      </c>
      <c r="B34" s="6" t="s">
        <v>44</v>
      </c>
      <c r="C34" s="13">
        <f t="shared" si="2"/>
        <v>2141948.2999999998</v>
      </c>
      <c r="D34" s="12">
        <v>762897.29999999993</v>
      </c>
      <c r="E34" s="7">
        <f>804*459.3</f>
        <v>369277.2</v>
      </c>
      <c r="F34" s="7">
        <v>0</v>
      </c>
      <c r="G34" s="7">
        <f>390*459.3</f>
        <v>179127</v>
      </c>
      <c r="H34" s="7">
        <f>467*459.3</f>
        <v>214493.1</v>
      </c>
      <c r="I34" s="7">
        <v>0</v>
      </c>
      <c r="J34" s="7">
        <v>0</v>
      </c>
      <c r="K34" s="7">
        <v>301</v>
      </c>
      <c r="L34" s="7">
        <f t="shared" si="4"/>
        <v>1129051</v>
      </c>
      <c r="M34" s="7">
        <v>150000</v>
      </c>
      <c r="N34" s="7">
        <v>50000</v>
      </c>
      <c r="O34" s="7">
        <v>50000</v>
      </c>
      <c r="P34" s="10">
        <v>2028</v>
      </c>
    </row>
    <row r="35" spans="1:16" s="15" customFormat="1" ht="30">
      <c r="A35" s="12">
        <v>27</v>
      </c>
      <c r="B35" s="6" t="s">
        <v>45</v>
      </c>
      <c r="C35" s="13">
        <f t="shared" si="2"/>
        <v>5422928.2000000002</v>
      </c>
      <c r="D35" s="12">
        <v>343147.2</v>
      </c>
      <c r="E35" s="7">
        <f>804*426.8</f>
        <v>343147.2</v>
      </c>
      <c r="F35" s="7">
        <v>0</v>
      </c>
      <c r="G35" s="7">
        <v>0</v>
      </c>
      <c r="H35" s="7">
        <v>0</v>
      </c>
      <c r="I35" s="7">
        <v>392</v>
      </c>
      <c r="J35" s="7">
        <f t="shared" ref="J35:J46" si="5">I35*7750</f>
        <v>3038000</v>
      </c>
      <c r="K35" s="7">
        <v>531</v>
      </c>
      <c r="L35" s="7">
        <f t="shared" si="4"/>
        <v>1991781</v>
      </c>
      <c r="M35" s="7">
        <v>0</v>
      </c>
      <c r="N35" s="7">
        <v>50000</v>
      </c>
      <c r="O35" s="7">
        <v>0</v>
      </c>
      <c r="P35" s="10">
        <v>2028</v>
      </c>
    </row>
    <row r="36" spans="1:16" s="15" customFormat="1" ht="30">
      <c r="A36" s="12">
        <v>28</v>
      </c>
      <c r="B36" s="6" t="s">
        <v>46</v>
      </c>
      <c r="C36" s="13">
        <f t="shared" si="2"/>
        <v>3107750</v>
      </c>
      <c r="D36" s="12">
        <v>0</v>
      </c>
      <c r="E36" s="7">
        <v>0</v>
      </c>
      <c r="F36" s="7">
        <v>0</v>
      </c>
      <c r="G36" s="7">
        <v>0</v>
      </c>
      <c r="H36" s="7">
        <v>0</v>
      </c>
      <c r="I36" s="7">
        <v>401</v>
      </c>
      <c r="J36" s="7">
        <f t="shared" si="5"/>
        <v>3107750</v>
      </c>
      <c r="K36" s="7">
        <v>0</v>
      </c>
      <c r="L36" s="7">
        <f t="shared" si="4"/>
        <v>0</v>
      </c>
      <c r="M36" s="7">
        <v>0</v>
      </c>
      <c r="N36" s="7">
        <v>0</v>
      </c>
      <c r="O36" s="7">
        <v>0</v>
      </c>
      <c r="P36" s="10">
        <v>2028</v>
      </c>
    </row>
    <row r="37" spans="1:16" s="15" customFormat="1" ht="30">
      <c r="A37" s="12">
        <v>29</v>
      </c>
      <c r="B37" s="6" t="s">
        <v>1</v>
      </c>
      <c r="C37" s="14">
        <f t="shared" si="2"/>
        <v>3076379</v>
      </c>
      <c r="D37" s="12">
        <v>471948</v>
      </c>
      <c r="E37" s="7">
        <f>804*587</f>
        <v>471948</v>
      </c>
      <c r="F37" s="7">
        <v>0</v>
      </c>
      <c r="G37" s="7">
        <v>0</v>
      </c>
      <c r="H37" s="7">
        <v>0</v>
      </c>
      <c r="I37" s="7">
        <v>0</v>
      </c>
      <c r="J37" s="7">
        <f t="shared" si="5"/>
        <v>0</v>
      </c>
      <c r="K37" s="7">
        <v>681</v>
      </c>
      <c r="L37" s="7">
        <f t="shared" si="4"/>
        <v>2554431</v>
      </c>
      <c r="M37" s="7">
        <v>0</v>
      </c>
      <c r="N37" s="7">
        <v>50000</v>
      </c>
      <c r="O37" s="7">
        <v>0</v>
      </c>
      <c r="P37" s="10">
        <v>2028</v>
      </c>
    </row>
    <row r="38" spans="1:16" s="15" customFormat="1" ht="30">
      <c r="A38" s="12">
        <v>30</v>
      </c>
      <c r="B38" s="6" t="s">
        <v>47</v>
      </c>
      <c r="C38" s="13">
        <v>5343363.8</v>
      </c>
      <c r="D38" s="12">
        <v>343066.8</v>
      </c>
      <c r="E38" s="7">
        <f>804*426.7</f>
        <v>343066.8</v>
      </c>
      <c r="F38" s="7">
        <v>0</v>
      </c>
      <c r="G38" s="7">
        <v>0</v>
      </c>
      <c r="H38" s="7">
        <v>0</v>
      </c>
      <c r="I38" s="7">
        <v>374</v>
      </c>
      <c r="J38" s="7">
        <f t="shared" si="5"/>
        <v>2898500</v>
      </c>
      <c r="K38" s="7">
        <v>547</v>
      </c>
      <c r="L38" s="7">
        <f t="shared" si="4"/>
        <v>2051797</v>
      </c>
      <c r="M38" s="7">
        <v>0</v>
      </c>
      <c r="N38" s="7">
        <v>50000</v>
      </c>
      <c r="O38" s="7">
        <v>0</v>
      </c>
      <c r="P38" s="10">
        <v>2028</v>
      </c>
    </row>
    <row r="39" spans="1:16" s="15" customFormat="1" ht="30">
      <c r="A39" s="12">
        <v>31</v>
      </c>
      <c r="B39" s="6" t="s">
        <v>48</v>
      </c>
      <c r="C39" s="13">
        <v>5387451.7999999998</v>
      </c>
      <c r="D39" s="12">
        <v>340654.8</v>
      </c>
      <c r="E39" s="7">
        <f>804*423.7</f>
        <v>340654.8</v>
      </c>
      <c r="F39" s="7">
        <v>0</v>
      </c>
      <c r="G39" s="7">
        <v>0</v>
      </c>
      <c r="H39" s="7">
        <v>0</v>
      </c>
      <c r="I39" s="7">
        <v>380</v>
      </c>
      <c r="J39" s="7">
        <f t="shared" si="5"/>
        <v>2945000</v>
      </c>
      <c r="K39" s="7">
        <v>547</v>
      </c>
      <c r="L39" s="7">
        <f t="shared" si="4"/>
        <v>2051797</v>
      </c>
      <c r="M39" s="7">
        <v>0</v>
      </c>
      <c r="N39" s="7">
        <v>50000</v>
      </c>
      <c r="O39" s="7">
        <v>0</v>
      </c>
      <c r="P39" s="10">
        <v>2028</v>
      </c>
    </row>
    <row r="40" spans="1:16" s="15" customFormat="1" ht="30">
      <c r="A40" s="12">
        <v>32</v>
      </c>
      <c r="B40" s="6" t="s">
        <v>49</v>
      </c>
      <c r="C40" s="13">
        <v>9650037.1600000001</v>
      </c>
      <c r="D40" s="12">
        <v>1186252.98</v>
      </c>
      <c r="E40" s="7">
        <f>804*714.18</f>
        <v>574200.72</v>
      </c>
      <c r="F40" s="7">
        <v>0</v>
      </c>
      <c r="G40" s="7">
        <f>390*714.18</f>
        <v>278530.19999999995</v>
      </c>
      <c r="H40" s="7">
        <f>467*714.18</f>
        <v>333522.06</v>
      </c>
      <c r="I40" s="8">
        <v>714.18</v>
      </c>
      <c r="J40" s="7">
        <f t="shared" si="5"/>
        <v>5534895</v>
      </c>
      <c r="K40" s="8">
        <v>714.18</v>
      </c>
      <c r="L40" s="7">
        <f t="shared" si="4"/>
        <v>2678889.1799999997</v>
      </c>
      <c r="M40" s="7">
        <v>150000</v>
      </c>
      <c r="N40" s="7">
        <v>50000</v>
      </c>
      <c r="O40" s="7">
        <v>50000</v>
      </c>
      <c r="P40" s="10">
        <v>2028</v>
      </c>
    </row>
    <row r="41" spans="1:16" s="15" customFormat="1" ht="30">
      <c r="A41" s="12">
        <v>33</v>
      </c>
      <c r="B41" s="6" t="s">
        <v>50</v>
      </c>
      <c r="C41" s="13">
        <v>5635627.1600000001</v>
      </c>
      <c r="D41" s="12">
        <v>679647.98</v>
      </c>
      <c r="E41" s="7">
        <f>804*409.18</f>
        <v>328980.72000000003</v>
      </c>
      <c r="F41" s="7">
        <v>0</v>
      </c>
      <c r="G41" s="7">
        <f>390*409.18</f>
        <v>159580.20000000001</v>
      </c>
      <c r="H41" s="7">
        <f>467*409.18</f>
        <v>191087.06</v>
      </c>
      <c r="I41" s="8">
        <v>409.18</v>
      </c>
      <c r="J41" s="7">
        <f t="shared" si="5"/>
        <v>3171145</v>
      </c>
      <c r="K41" s="8">
        <v>409.18</v>
      </c>
      <c r="L41" s="7">
        <f t="shared" si="4"/>
        <v>1534834.18</v>
      </c>
      <c r="M41" s="7">
        <v>150000</v>
      </c>
      <c r="N41" s="7">
        <v>50000</v>
      </c>
      <c r="O41" s="7">
        <v>50000</v>
      </c>
      <c r="P41" s="10">
        <v>2028</v>
      </c>
    </row>
    <row r="42" spans="1:16" s="15" customFormat="1" ht="45">
      <c r="A42" s="12">
        <v>34</v>
      </c>
      <c r="B42" s="6" t="s">
        <v>51</v>
      </c>
      <c r="C42" s="13">
        <v>9914856.5999999996</v>
      </c>
      <c r="D42" s="12">
        <v>1219672.2999999998</v>
      </c>
      <c r="E42" s="7">
        <f>804*734.3</f>
        <v>590377.19999999995</v>
      </c>
      <c r="F42" s="7">
        <v>0</v>
      </c>
      <c r="G42" s="7">
        <f>390*734.3</f>
        <v>286377</v>
      </c>
      <c r="H42" s="7">
        <f>467*734.3</f>
        <v>342918.1</v>
      </c>
      <c r="I42" s="8">
        <v>734.3</v>
      </c>
      <c r="J42" s="7">
        <f t="shared" si="5"/>
        <v>5690825</v>
      </c>
      <c r="K42" s="8">
        <v>734.3</v>
      </c>
      <c r="L42" s="7">
        <f t="shared" si="4"/>
        <v>2754359.3</v>
      </c>
      <c r="M42" s="7">
        <v>150000</v>
      </c>
      <c r="N42" s="7">
        <v>50000</v>
      </c>
      <c r="O42" s="7">
        <v>50000</v>
      </c>
      <c r="P42" s="10">
        <v>2028</v>
      </c>
    </row>
    <row r="43" spans="1:16" s="15" customFormat="1" ht="30">
      <c r="A43" s="12">
        <v>35</v>
      </c>
      <c r="B43" s="6" t="s">
        <v>52</v>
      </c>
      <c r="C43" s="13">
        <v>1386569</v>
      </c>
      <c r="D43" s="12">
        <v>1336569</v>
      </c>
      <c r="E43" s="7">
        <f>804*398.5</f>
        <v>320394</v>
      </c>
      <c r="F43" s="7">
        <f>1693*398.5</f>
        <v>674660.5</v>
      </c>
      <c r="G43" s="7">
        <f>390*398.5</f>
        <v>155415</v>
      </c>
      <c r="H43" s="7">
        <f>467*398.5</f>
        <v>186099.5</v>
      </c>
      <c r="I43" s="7">
        <v>0</v>
      </c>
      <c r="J43" s="7">
        <f t="shared" si="5"/>
        <v>0</v>
      </c>
      <c r="K43" s="7">
        <v>0</v>
      </c>
      <c r="L43" s="7">
        <f t="shared" si="4"/>
        <v>0</v>
      </c>
      <c r="M43" s="7">
        <v>0</v>
      </c>
      <c r="N43" s="7">
        <v>50000</v>
      </c>
      <c r="O43" s="7">
        <v>0</v>
      </c>
      <c r="P43" s="10">
        <v>2028</v>
      </c>
    </row>
    <row r="44" spans="1:16" s="15" customFormat="1" ht="30">
      <c r="A44" s="12">
        <v>36</v>
      </c>
      <c r="B44" s="6" t="s">
        <v>53</v>
      </c>
      <c r="C44" s="13">
        <v>4603960.3899999997</v>
      </c>
      <c r="D44" s="12">
        <v>548279.49</v>
      </c>
      <c r="E44" s="7">
        <f>804*330.09</f>
        <v>265392.36</v>
      </c>
      <c r="F44" s="7">
        <v>0</v>
      </c>
      <c r="G44" s="7">
        <f>390*330.09</f>
        <v>128735.09999999999</v>
      </c>
      <c r="H44" s="7">
        <f>467*330.09</f>
        <v>154152.03</v>
      </c>
      <c r="I44" s="8">
        <v>330.9</v>
      </c>
      <c r="J44" s="7">
        <f t="shared" si="5"/>
        <v>2564475</v>
      </c>
      <c r="K44" s="8">
        <v>330.9</v>
      </c>
      <c r="L44" s="7">
        <f t="shared" si="4"/>
        <v>1241205.8999999999</v>
      </c>
      <c r="M44" s="7">
        <v>150000</v>
      </c>
      <c r="N44" s="7">
        <v>50000</v>
      </c>
      <c r="O44" s="7">
        <v>50000</v>
      </c>
      <c r="P44" s="10">
        <v>2028</v>
      </c>
    </row>
    <row r="45" spans="1:16" s="15" customFormat="1" ht="30">
      <c r="A45" s="12">
        <v>37</v>
      </c>
      <c r="B45" s="6" t="s">
        <v>54</v>
      </c>
      <c r="C45" s="13">
        <v>5349463.5999999996</v>
      </c>
      <c r="D45" s="12">
        <v>348453.6</v>
      </c>
      <c r="E45" s="7">
        <f>804*433.4</f>
        <v>348453.6</v>
      </c>
      <c r="F45" s="7">
        <v>0</v>
      </c>
      <c r="G45" s="7">
        <v>0</v>
      </c>
      <c r="H45" s="7">
        <v>0</v>
      </c>
      <c r="I45" s="7">
        <v>392</v>
      </c>
      <c r="J45" s="7">
        <f t="shared" si="5"/>
        <v>3038000</v>
      </c>
      <c r="K45" s="7">
        <v>510</v>
      </c>
      <c r="L45" s="7">
        <f t="shared" si="4"/>
        <v>1913010</v>
      </c>
      <c r="M45" s="7">
        <v>0</v>
      </c>
      <c r="N45" s="7">
        <v>50000</v>
      </c>
      <c r="O45" s="7">
        <v>0</v>
      </c>
      <c r="P45" s="10">
        <v>2028</v>
      </c>
    </row>
    <row r="46" spans="1:16" s="15" customFormat="1" ht="30">
      <c r="A46" s="12">
        <v>38</v>
      </c>
      <c r="B46" s="6" t="s">
        <v>55</v>
      </c>
      <c r="C46" s="13">
        <v>6854358.5999999996</v>
      </c>
      <c r="D46" s="12">
        <v>348453.6</v>
      </c>
      <c r="E46" s="7">
        <f>804*433.4</f>
        <v>348453.6</v>
      </c>
      <c r="F46" s="7">
        <v>0</v>
      </c>
      <c r="G46" s="7">
        <v>0</v>
      </c>
      <c r="H46" s="7">
        <v>0</v>
      </c>
      <c r="I46" s="7">
        <v>516</v>
      </c>
      <c r="J46" s="7">
        <f t="shared" si="5"/>
        <v>3999000</v>
      </c>
      <c r="K46" s="7">
        <v>655</v>
      </c>
      <c r="L46" s="7">
        <f t="shared" si="4"/>
        <v>2456905</v>
      </c>
      <c r="M46" s="7">
        <v>0</v>
      </c>
      <c r="N46" s="7">
        <v>50000</v>
      </c>
      <c r="O46" s="7">
        <v>0</v>
      </c>
      <c r="P46" s="10">
        <v>2028</v>
      </c>
    </row>
    <row r="47" spans="1:16" s="15" customFormat="1" ht="30">
      <c r="A47" s="12">
        <v>39</v>
      </c>
      <c r="B47" s="6" t="s">
        <v>56</v>
      </c>
      <c r="C47" s="13">
        <v>2015813.5</v>
      </c>
      <c r="D47" s="12">
        <v>813059.5</v>
      </c>
      <c r="E47" s="7">
        <f>804*489.5</f>
        <v>393558</v>
      </c>
      <c r="F47" s="7">
        <v>0</v>
      </c>
      <c r="G47" s="7">
        <f>390*489.5</f>
        <v>190905</v>
      </c>
      <c r="H47" s="7">
        <f>467*489.5</f>
        <v>228596.5</v>
      </c>
      <c r="I47" s="7">
        <v>0</v>
      </c>
      <c r="J47" s="7">
        <v>0</v>
      </c>
      <c r="K47" s="7">
        <v>254</v>
      </c>
      <c r="L47" s="7">
        <f t="shared" si="4"/>
        <v>952754</v>
      </c>
      <c r="M47" s="7">
        <v>150000</v>
      </c>
      <c r="N47" s="7">
        <v>50000</v>
      </c>
      <c r="O47" s="7">
        <v>50000</v>
      </c>
      <c r="P47" s="10">
        <v>2028</v>
      </c>
    </row>
    <row r="48" spans="1:16" s="15" customFormat="1" ht="30">
      <c r="A48" s="12">
        <v>40</v>
      </c>
      <c r="B48" s="6" t="s">
        <v>57</v>
      </c>
      <c r="C48" s="13">
        <v>1723215.7</v>
      </c>
      <c r="D48" s="12">
        <v>569224.69999999995</v>
      </c>
      <c r="E48" s="7">
        <f>804*342.7</f>
        <v>275530.8</v>
      </c>
      <c r="F48" s="7">
        <v>0</v>
      </c>
      <c r="G48" s="7">
        <f>390*342.7</f>
        <v>133653</v>
      </c>
      <c r="H48" s="7">
        <f>467*342.7</f>
        <v>160040.9</v>
      </c>
      <c r="I48" s="7">
        <v>0</v>
      </c>
      <c r="J48" s="7">
        <v>0</v>
      </c>
      <c r="K48" s="7">
        <v>241</v>
      </c>
      <c r="L48" s="7">
        <f t="shared" si="4"/>
        <v>903991</v>
      </c>
      <c r="M48" s="7">
        <v>150000</v>
      </c>
      <c r="N48" s="7">
        <v>50000</v>
      </c>
      <c r="O48" s="7">
        <v>50000</v>
      </c>
      <c r="P48" s="10">
        <v>2028</v>
      </c>
    </row>
    <row r="49" spans="1:16" s="15" customFormat="1" ht="45">
      <c r="A49" s="12">
        <v>41</v>
      </c>
      <c r="B49" s="6" t="s">
        <v>58</v>
      </c>
      <c r="C49" s="13">
        <v>11050342.34</v>
      </c>
      <c r="D49" s="12">
        <v>1362966.77</v>
      </c>
      <c r="E49" s="7">
        <f>804*820.57</f>
        <v>659738.28</v>
      </c>
      <c r="F49" s="7">
        <v>0</v>
      </c>
      <c r="G49" s="7">
        <f>390*820.57</f>
        <v>320022.30000000005</v>
      </c>
      <c r="H49" s="7">
        <f>467*820.57</f>
        <v>383206.19</v>
      </c>
      <c r="I49" s="8">
        <v>820.57</v>
      </c>
      <c r="J49" s="7">
        <f>I49*7750</f>
        <v>6359417.5</v>
      </c>
      <c r="K49" s="8">
        <v>820.57</v>
      </c>
      <c r="L49" s="7">
        <f t="shared" si="4"/>
        <v>3077958.0700000003</v>
      </c>
      <c r="M49" s="7">
        <v>150000</v>
      </c>
      <c r="N49" s="7">
        <v>50000</v>
      </c>
      <c r="O49" s="7">
        <v>50000</v>
      </c>
      <c r="P49" s="10">
        <v>2028</v>
      </c>
    </row>
    <row r="50" spans="1:16" s="15" customFormat="1" ht="45">
      <c r="A50" s="12">
        <v>42</v>
      </c>
      <c r="B50" s="6" t="s">
        <v>59</v>
      </c>
      <c r="C50" s="13">
        <v>10184545.98</v>
      </c>
      <c r="D50" s="12">
        <v>1253706.19</v>
      </c>
      <c r="E50" s="7">
        <f>804*754.79</f>
        <v>606851.15999999992</v>
      </c>
      <c r="F50" s="7">
        <v>0</v>
      </c>
      <c r="G50" s="7">
        <f>390*754.79</f>
        <v>294368.09999999998</v>
      </c>
      <c r="H50" s="7">
        <f>467*754.79</f>
        <v>352486.93</v>
      </c>
      <c r="I50" s="8">
        <v>754.79</v>
      </c>
      <c r="J50" s="7">
        <f>I50*7750</f>
        <v>5849622.5</v>
      </c>
      <c r="K50" s="8">
        <v>754.79</v>
      </c>
      <c r="L50" s="7">
        <f t="shared" si="4"/>
        <v>2831217.29</v>
      </c>
      <c r="M50" s="7">
        <v>150000</v>
      </c>
      <c r="N50" s="7">
        <v>50000</v>
      </c>
      <c r="O50" s="7">
        <v>50000</v>
      </c>
      <c r="P50" s="10">
        <v>2028</v>
      </c>
    </row>
  </sheetData>
  <mergeCells count="12">
    <mergeCell ref="A1:P2"/>
    <mergeCell ref="K6:L7"/>
    <mergeCell ref="M6:M7"/>
    <mergeCell ref="N6:N7"/>
    <mergeCell ref="O6:O7"/>
    <mergeCell ref="P6:P8"/>
    <mergeCell ref="A6:A8"/>
    <mergeCell ref="B6:B8"/>
    <mergeCell ref="C6:C7"/>
    <mergeCell ref="D6:H6"/>
    <mergeCell ref="I6:J7"/>
    <mergeCell ref="A3:P3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2025-10-09T06:58:55Z</dcterms:modified>
</cp:coreProperties>
</file>